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\OneDrive\Desktop\"/>
    </mc:Choice>
  </mc:AlternateContent>
  <xr:revisionPtr revIDLastSave="0" documentId="13_ncr:1_{A08EA9C1-4D6A-435D-B500-856B6AED00A0}" xr6:coauthVersionLast="45" xr6:coauthVersionMax="45" xr10:uidLastSave="{00000000-0000-0000-0000-000000000000}"/>
  <bookViews>
    <workbookView xWindow="-110" yWindow="-110" windowWidth="38620" windowHeight="21220" xr2:uid="{56A3FA61-8AF7-4D72-A187-3573F8C077C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P4" i="1" l="1"/>
  <c r="Q4" i="1" s="1"/>
  <c r="Q5" i="1"/>
  <c r="Q6" i="1"/>
  <c r="Q7" i="1"/>
  <c r="Q8" i="1"/>
  <c r="Q9" i="1"/>
  <c r="Q10" i="1"/>
  <c r="Q11" i="1"/>
  <c r="Q12" i="1"/>
  <c r="Q13" i="1"/>
  <c r="P5" i="1"/>
  <c r="P6" i="1"/>
  <c r="P7" i="1"/>
  <c r="P8" i="1"/>
  <c r="P9" i="1"/>
  <c r="P10" i="1"/>
  <c r="P11" i="1"/>
  <c r="P12" i="1"/>
  <c r="P13" i="1"/>
  <c r="H19" i="1"/>
  <c r="G4" i="1"/>
  <c r="G5" i="1" s="1"/>
  <c r="G6" i="1" s="1"/>
  <c r="F15" i="1"/>
  <c r="F6" i="1"/>
  <c r="F7" i="1"/>
  <c r="N7" i="1" s="1"/>
  <c r="F8" i="1"/>
  <c r="N8" i="1" s="1"/>
  <c r="F9" i="1"/>
  <c r="N9" i="1" s="1"/>
  <c r="F10" i="1"/>
  <c r="F11" i="1"/>
  <c r="F12" i="1"/>
  <c r="F13" i="1"/>
  <c r="N13" i="1" s="1"/>
  <c r="F14" i="1"/>
  <c r="F5" i="1"/>
  <c r="F4" i="1"/>
  <c r="N4" i="1" s="1"/>
  <c r="O4" i="1" s="1"/>
  <c r="E5" i="1"/>
  <c r="I5" i="1" s="1"/>
  <c r="E6" i="1"/>
  <c r="I6" i="1" s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13" i="1"/>
  <c r="I13" i="1" s="1"/>
  <c r="E14" i="1"/>
  <c r="I14" i="1" s="1"/>
  <c r="E4" i="1"/>
  <c r="I4" i="1" s="1"/>
  <c r="N14" i="1" l="1"/>
  <c r="N12" i="1"/>
  <c r="N11" i="1"/>
  <c r="N10" i="1"/>
  <c r="G7" i="1"/>
  <c r="G8" i="1" s="1"/>
  <c r="G9" i="1" s="1"/>
  <c r="G10" i="1" s="1"/>
  <c r="G11" i="1" s="1"/>
  <c r="G12" i="1" s="1"/>
  <c r="N6" i="1"/>
  <c r="N5" i="1"/>
  <c r="N16" i="1" l="1"/>
  <c r="O5" i="1"/>
  <c r="O6" i="1" s="1"/>
  <c r="O7" i="1" s="1"/>
  <c r="O8" i="1" s="1"/>
  <c r="O9" i="1" s="1"/>
  <c r="O10" i="1" s="1"/>
  <c r="O11" i="1" s="1"/>
  <c r="O12" i="1" s="1"/>
  <c r="O13" i="1" s="1"/>
  <c r="O14" i="1" s="1"/>
  <c r="G13" i="1"/>
  <c r="G14" i="1" l="1"/>
  <c r="I23" i="1"/>
  <c r="I24" i="1" s="1"/>
  <c r="L11" i="1" l="1"/>
  <c r="M11" i="1" s="1"/>
  <c r="L10" i="1"/>
  <c r="M10" i="1" s="1"/>
  <c r="L12" i="1"/>
  <c r="M12" i="1" s="1"/>
  <c r="L13" i="1"/>
  <c r="M13" i="1" s="1"/>
  <c r="L14" i="1"/>
  <c r="M14" i="1" s="1"/>
  <c r="L4" i="1"/>
  <c r="M4" i="1" s="1"/>
  <c r="L9" i="1"/>
  <c r="M9" i="1" s="1"/>
  <c r="L5" i="1"/>
  <c r="M5" i="1" s="1"/>
  <c r="L6" i="1"/>
  <c r="M6" i="1" s="1"/>
  <c r="L7" i="1"/>
  <c r="M7" i="1" s="1"/>
  <c r="L8" i="1"/>
  <c r="M8" i="1" s="1"/>
  <c r="G15" i="1"/>
  <c r="I22" i="1"/>
  <c r="I26" i="1" s="1"/>
  <c r="J5" i="1" l="1"/>
  <c r="K5" i="1" s="1"/>
  <c r="J10" i="1"/>
  <c r="K10" i="1" s="1"/>
  <c r="J6" i="1"/>
  <c r="K6" i="1" s="1"/>
  <c r="J9" i="1"/>
  <c r="K9" i="1" s="1"/>
  <c r="J4" i="1"/>
  <c r="K4" i="1" s="1"/>
  <c r="J11" i="1"/>
  <c r="K11" i="1" s="1"/>
  <c r="J7" i="1"/>
  <c r="K7" i="1" s="1"/>
  <c r="J8" i="1"/>
  <c r="K8" i="1" s="1"/>
  <c r="J12" i="1"/>
  <c r="K12" i="1" s="1"/>
  <c r="J13" i="1"/>
  <c r="K13" i="1" s="1"/>
  <c r="J14" i="1"/>
  <c r="K14" i="1" s="1"/>
</calcChain>
</file>

<file path=xl/sharedStrings.xml><?xml version="1.0" encoding="utf-8"?>
<sst xmlns="http://schemas.openxmlformats.org/spreadsheetml/2006/main" count="45" uniqueCount="42">
  <si>
    <t>Carotte 4</t>
  </si>
  <si>
    <t/>
  </si>
  <si>
    <t>Profondeur</t>
  </si>
  <si>
    <t>210Pb (dpm/g)</t>
  </si>
  <si>
    <t xml:space="preserve"> +/-</t>
  </si>
  <si>
    <t>Porosité</t>
  </si>
  <si>
    <t>210Pbinsitu</t>
  </si>
  <si>
    <t>210Pbex</t>
  </si>
  <si>
    <t>poids cum (g/cm2)</t>
  </si>
  <si>
    <t>poids par section (g/cm2)</t>
  </si>
  <si>
    <t>ln(210Pbxs)</t>
  </si>
  <si>
    <t>CFCS</t>
  </si>
  <si>
    <t>pente</t>
  </si>
  <si>
    <t>ordonnee Orig</t>
  </si>
  <si>
    <t>210Pbexc(0)</t>
  </si>
  <si>
    <t>T1/2</t>
  </si>
  <si>
    <t>an</t>
  </si>
  <si>
    <t>lambda</t>
  </si>
  <si>
    <t>an-1</t>
  </si>
  <si>
    <t>tx sed (omega)</t>
  </si>
  <si>
    <t>g/cm2/an</t>
  </si>
  <si>
    <t xml:space="preserve">echantillonnage </t>
  </si>
  <si>
    <t>annees cal</t>
  </si>
  <si>
    <t>CIC</t>
  </si>
  <si>
    <t>CRS</t>
  </si>
  <si>
    <t>exces total</t>
  </si>
  <si>
    <t>Inventaire Pb</t>
  </si>
  <si>
    <t>Inventaire Pb cum</t>
  </si>
  <si>
    <t>dpm/g</t>
  </si>
  <si>
    <t>Réponses aux questions</t>
  </si>
  <si>
    <t>Total</t>
  </si>
  <si>
    <t>a. 210Pbxs estimé en soustrayant 1,73 a toutes les activités mesurees en 210Pb tot (col E)</t>
  </si>
  <si>
    <t>b. poids cum en g/cm2 (col G)</t>
  </si>
  <si>
    <t>c. col K, M, N, pour CFCS, CIC, CRS, respectivement</t>
  </si>
  <si>
    <t>d. voir ci-dessous (bleu: CFCS, orange: CIC, gris: CRS). Les ages sont concordants jusqu'aux annees 60, ensuite ils divergent</t>
  </si>
  <si>
    <t xml:space="preserve">e. 25cm de profondeur correspond environ a 15 g/cm2 en poids cum, et cette profondeur est </t>
  </si>
  <si>
    <t>raisonnablement compatible avec 1850 (bien que nous soyons en dehors de la gamme de validite du 210Pb (env. 120 ans soit 4-5 T1/2)</t>
  </si>
  <si>
    <t>Oui c'est compatible avec la courantologie de l'etang. Le centre est une zone a basse energie ou les particules fines sedimentent. Gros impact de fines liees a la crue de 1850</t>
  </si>
  <si>
    <t>f. Non, la datation n'est pas precise. Date trop vieille (cf ci-dessus). C'est juste une estimation.</t>
  </si>
  <si>
    <t>g. Le flux = lambda x inventaire 210Pb xs</t>
  </si>
  <si>
    <t>Flux (dpm/cm2/an)</t>
  </si>
  <si>
    <t>Plus de renseignements dans l'article joint. Les resultats y sont legerement differents car les erreurs analytiques sont prises en compte.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</si>
</sst>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0" borderId="0" xfId="0" applyNumberFormat="1" applyFill="1"/>
    <xf numFmtId="165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 (210Pbxs) vs poids cum</a:t>
            </a:r>
          </a:p>
          <a:p>
            <a:pPr>
              <a:defRPr/>
            </a:pPr>
            <a:r>
              <a:rPr lang="en-US"/>
              <a:t>Modele CFCS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Feuil1!$G$4:$G$14</c:f>
              <c:numCache>
                <c:formatCode>General</c:formatCode>
                <c:ptCount val="11"/>
                <c:pt idx="0">
                  <c:v>0.25686710368633181</c:v>
                </c:pt>
                <c:pt idx="1">
                  <c:v>0.87329172828910273</c:v>
                </c:pt>
                <c:pt idx="2">
                  <c:v>1.8677735535895028</c:v>
                </c:pt>
                <c:pt idx="3">
                  <c:v>2.9699554297799331</c:v>
                </c:pt>
                <c:pt idx="4">
                  <c:v>3.9357114194852771</c:v>
                </c:pt>
                <c:pt idx="5">
                  <c:v>5.2050600372309344</c:v>
                </c:pt>
                <c:pt idx="6">
                  <c:v>5.8366384613033375</c:v>
                </c:pt>
                <c:pt idx="7">
                  <c:v>7.1232086848541414</c:v>
                </c:pt>
                <c:pt idx="8">
                  <c:v>7.7690734718465473</c:v>
                </c:pt>
                <c:pt idx="9">
                  <c:v>9.4892002489006018</c:v>
                </c:pt>
                <c:pt idx="10">
                  <c:v>12.941785482727504</c:v>
                </c:pt>
              </c:numCache>
            </c:numRef>
          </c:xVal>
          <c:yVal>
            <c:numRef>
              <c:f>Feuil1!$I$4:$I$14</c:f>
              <c:numCache>
                <c:formatCode>General</c:formatCode>
                <c:ptCount val="11"/>
                <c:pt idx="0">
                  <c:v>2.2148461786860389</c:v>
                </c:pt>
                <c:pt idx="1">
                  <c:v>1.944480556245719</c:v>
                </c:pt>
                <c:pt idx="2">
                  <c:v>1.6467336971777973</c:v>
                </c:pt>
                <c:pt idx="3">
                  <c:v>1.3937663759585914</c:v>
                </c:pt>
                <c:pt idx="4">
                  <c:v>1.1908875647772803</c:v>
                </c:pt>
                <c:pt idx="5">
                  <c:v>1.1052568313867783</c:v>
                </c:pt>
                <c:pt idx="6">
                  <c:v>1.0116009116784801</c:v>
                </c:pt>
                <c:pt idx="7">
                  <c:v>0.96698384618967326</c:v>
                </c:pt>
                <c:pt idx="8">
                  <c:v>0.71294980785612505</c:v>
                </c:pt>
                <c:pt idx="9">
                  <c:v>-0.37106368139083207</c:v>
                </c:pt>
                <c:pt idx="10">
                  <c:v>-1.0788096613719305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C-46CA-9A7D-D87C678C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170064"/>
        <c:axId val="1430332736"/>
      </c:scatterChart>
      <c:valAx>
        <c:axId val="98117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332736"/>
        <c:crosses val="autoZero"/>
        <c:crossBetween val="midCat"/>
      </c:valAx>
      <c:valAx>
        <c:axId val="143033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170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Modeles d'age</a:t>
            </a:r>
          </a:p>
          <a:p>
            <a:pPr>
              <a:defRPr/>
            </a:pPr>
            <a:r>
              <a:rPr lang="en-US"/>
              <a:t>annees</a:t>
            </a:r>
            <a:r>
              <a:rPr lang="en-US" baseline="0"/>
              <a:t> calendaires vs poids cum</a:t>
            </a:r>
          </a:p>
        </c:rich>
      </c:tx>
      <c:layout>
        <c:manualLayout>
          <c:xMode val="edge"/>
          <c:yMode val="edge"/>
          <c:x val="0.31412386874929288"/>
          <c:y val="2.2617126551950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CFCS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Feuil1!$G$4:$G$14</c:f>
              <c:numCache>
                <c:formatCode>General</c:formatCode>
                <c:ptCount val="11"/>
                <c:pt idx="0">
                  <c:v>0.25686710368633181</c:v>
                </c:pt>
                <c:pt idx="1">
                  <c:v>0.87329172828910273</c:v>
                </c:pt>
                <c:pt idx="2">
                  <c:v>1.8677735535895028</c:v>
                </c:pt>
                <c:pt idx="3">
                  <c:v>2.9699554297799331</c:v>
                </c:pt>
                <c:pt idx="4">
                  <c:v>3.9357114194852771</c:v>
                </c:pt>
                <c:pt idx="5">
                  <c:v>5.2050600372309344</c:v>
                </c:pt>
                <c:pt idx="6">
                  <c:v>5.8366384613033375</c:v>
                </c:pt>
                <c:pt idx="7">
                  <c:v>7.1232086848541414</c:v>
                </c:pt>
                <c:pt idx="8">
                  <c:v>7.7690734718465473</c:v>
                </c:pt>
                <c:pt idx="9">
                  <c:v>9.4892002489006018</c:v>
                </c:pt>
                <c:pt idx="10">
                  <c:v>12.941785482727504</c:v>
                </c:pt>
              </c:numCache>
            </c:numRef>
          </c:xVal>
          <c:yVal>
            <c:numRef>
              <c:f>Feuil1!$K$4:$K$14</c:f>
              <c:numCache>
                <c:formatCode>0</c:formatCode>
                <c:ptCount val="11"/>
                <c:pt idx="0">
                  <c:v>1998.0164800505838</c:v>
                </c:pt>
                <c:pt idx="1">
                  <c:v>1993.2564678782815</c:v>
                </c:pt>
                <c:pt idx="2">
                  <c:v>1985.5771095194007</c:v>
                </c:pt>
                <c:pt idx="3">
                  <c:v>1977.0660946485423</c:v>
                </c:pt>
                <c:pt idx="4">
                  <c:v>1969.608556317017</c:v>
                </c:pt>
                <c:pt idx="5">
                  <c:v>1959.8066849604695</c:v>
                </c:pt>
                <c:pt idx="6">
                  <c:v>1954.9296556103111</c:v>
                </c:pt>
                <c:pt idx="7">
                  <c:v>1944.9947995383786</c:v>
                </c:pt>
                <c:pt idx="8">
                  <c:v>1940.0074513289744</c:v>
                </c:pt>
                <c:pt idx="9">
                  <c:v>1926.7246847588417</c:v>
                </c:pt>
                <c:pt idx="10">
                  <c:v>1900.063926763462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CC-41D8-835F-3646B8E13068}"/>
            </c:ext>
          </c:extLst>
        </c:ser>
        <c:ser>
          <c:idx val="1"/>
          <c:order val="1"/>
          <c:tx>
            <c:v>CIC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Feuil1!$G$4:$G$15</c:f>
              <c:numCache>
                <c:formatCode>General</c:formatCode>
                <c:ptCount val="12"/>
                <c:pt idx="0">
                  <c:v>0.25686710368633181</c:v>
                </c:pt>
                <c:pt idx="1">
                  <c:v>0.87329172828910273</c:v>
                </c:pt>
                <c:pt idx="2">
                  <c:v>1.8677735535895028</c:v>
                </c:pt>
                <c:pt idx="3">
                  <c:v>2.9699554297799331</c:v>
                </c:pt>
                <c:pt idx="4">
                  <c:v>3.9357114194852771</c:v>
                </c:pt>
                <c:pt idx="5">
                  <c:v>5.2050600372309344</c:v>
                </c:pt>
                <c:pt idx="6">
                  <c:v>5.8366384613033375</c:v>
                </c:pt>
                <c:pt idx="7">
                  <c:v>7.1232086848541414</c:v>
                </c:pt>
                <c:pt idx="8">
                  <c:v>7.7690734718465473</c:v>
                </c:pt>
                <c:pt idx="9">
                  <c:v>9.4892002489006018</c:v>
                </c:pt>
                <c:pt idx="10">
                  <c:v>12.941785482727504</c:v>
                </c:pt>
                <c:pt idx="11">
                  <c:v>41.577019342467651</c:v>
                </c:pt>
              </c:numCache>
            </c:numRef>
          </c:xVal>
          <c:yVal>
            <c:numRef>
              <c:f>Feuil1!$M$4:$M$14</c:f>
              <c:numCache>
                <c:formatCode>0</c:formatCode>
                <c:ptCount val="11"/>
                <c:pt idx="0">
                  <c:v>1998.768429990419</c:v>
                </c:pt>
                <c:pt idx="1">
                  <c:v>1990.1092058220015</c:v>
                </c:pt>
                <c:pt idx="2">
                  <c:v>1980.5730200642117</c:v>
                </c:pt>
                <c:pt idx="3">
                  <c:v>1972.4710257279878</c:v>
                </c:pt>
                <c:pt idx="4">
                  <c:v>1965.9732576715892</c:v>
                </c:pt>
                <c:pt idx="5">
                  <c:v>1963.2306911076835</c:v>
                </c:pt>
                <c:pt idx="6">
                  <c:v>1960.2310952414136</c:v>
                </c:pt>
                <c:pt idx="7">
                  <c:v>1958.802107456956</c:v>
                </c:pt>
                <c:pt idx="8">
                  <c:v>1950.665948486434</c:v>
                </c:pt>
                <c:pt idx="9">
                  <c:v>1915.9473488351423</c:v>
                </c:pt>
                <c:pt idx="10">
                  <c:v>1893.2797809704243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CC-41D8-835F-3646B8E13068}"/>
            </c:ext>
          </c:extLst>
        </c:ser>
        <c:ser>
          <c:idx val="2"/>
          <c:order val="2"/>
          <c:tx>
            <c:v>CRS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Feuil1!$G$4:$G$15</c:f>
              <c:numCache>
                <c:formatCode>General</c:formatCode>
                <c:ptCount val="12"/>
                <c:pt idx="0">
                  <c:v>0.25686710368633181</c:v>
                </c:pt>
                <c:pt idx="1">
                  <c:v>0.87329172828910273</c:v>
                </c:pt>
                <c:pt idx="2">
                  <c:v>1.8677735535895028</c:v>
                </c:pt>
                <c:pt idx="3">
                  <c:v>2.9699554297799331</c:v>
                </c:pt>
                <c:pt idx="4">
                  <c:v>3.9357114194852771</c:v>
                </c:pt>
                <c:pt idx="5">
                  <c:v>5.2050600372309344</c:v>
                </c:pt>
                <c:pt idx="6">
                  <c:v>5.8366384613033375</c:v>
                </c:pt>
                <c:pt idx="7">
                  <c:v>7.1232086848541414</c:v>
                </c:pt>
                <c:pt idx="8">
                  <c:v>7.7690734718465473</c:v>
                </c:pt>
                <c:pt idx="9">
                  <c:v>9.4892002489006018</c:v>
                </c:pt>
                <c:pt idx="10">
                  <c:v>12.941785482727504</c:v>
                </c:pt>
                <c:pt idx="11">
                  <c:v>41.577019342467651</c:v>
                </c:pt>
              </c:numCache>
            </c:numRef>
          </c:xVal>
          <c:yVal>
            <c:numRef>
              <c:f>Feuil1!$Q$4:$Q$13</c:f>
              <c:numCache>
                <c:formatCode>0</c:formatCode>
                <c:ptCount val="10"/>
                <c:pt idx="0">
                  <c:v>1997.5598831203904</c:v>
                </c:pt>
                <c:pt idx="1">
                  <c:v>1992.5436367374202</c:v>
                </c:pt>
                <c:pt idx="2">
                  <c:v>1985.2724427616504</c:v>
                </c:pt>
                <c:pt idx="3">
                  <c:v>1977.3421619115677</c:v>
                </c:pt>
                <c:pt idx="4">
                  <c:v>1970.1563039698003</c:v>
                </c:pt>
                <c:pt idx="5">
                  <c:v>1958.5739324624997</c:v>
                </c:pt>
                <c:pt idx="6">
                  <c:v>1951.5312885962076</c:v>
                </c:pt>
                <c:pt idx="7">
                  <c:v>1930.6404721662468</c:v>
                </c:pt>
                <c:pt idx="8">
                  <c:v>1916.4370046654783</c:v>
                </c:pt>
                <c:pt idx="9">
                  <c:v>1894.0600341575566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CC-41D8-835F-3646B8E13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263344"/>
        <c:axId val="1306281152"/>
      </c:scatterChart>
      <c:valAx>
        <c:axId val="130826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281152"/>
        <c:crosses val="autoZero"/>
        <c:crossBetween val="midCat"/>
      </c:valAx>
      <c:valAx>
        <c:axId val="1306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26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117929</xdr:colOff>
      <xdr:row>19</xdr:row>
      <xdr:rowOff>107043</xdr:rowOff>
    </xdr:from>
    <xdr:to>
      <xdr:col>4</xdr:col>
      <xdr:colOff>607786</xdr:colOff>
      <xdr:row>34</xdr:row>
      <xdr:rowOff>60778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AA8489E-6CFF-4A20-8D88-E10904313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317500</xdr:colOff>
      <xdr:row>26</xdr:row>
      <xdr:rowOff>104322</xdr:rowOff>
    </xdr:from>
    <xdr:to>
      <xdr:col>9</xdr:col>
      <xdr:colOff>680358</xdr:colOff>
      <xdr:row>40</xdr:row>
      <xdr:rowOff>136072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19F4C1B-8F46-4E07-A2A8-9603D1A7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9B85-1B8B-4984-92E7-EB846A1D6C46}">
  <dimension ref="A1:Q30"/>
  <sheetViews>
    <sheetView tabSelected="1" zoomScale="140" zoomScaleNormal="140" workbookViewId="0">
      <selection activeCell="L34" sqref="L34"/>
    </sheetView>
  </sheetViews>
  <sheetFormatPr baseColWidth="10" defaultRowHeight="14.5" x14ac:dyDescent="0.35"/>
  <cols>
    <col min="6" max="6" width="21.26953125" customWidth="1"/>
    <col min="14" max="15" width="10.90625" style="4"/>
  </cols>
  <sheetData>
    <row r="1" spans="1:17" x14ac:dyDescent="0.35">
      <c r="A1" t="s">
        <v>0</v>
      </c>
      <c r="D1" t="s">
        <v>1</v>
      </c>
      <c r="J1" t="s">
        <v>21</v>
      </c>
      <c r="K1">
        <v>2000</v>
      </c>
    </row>
    <row r="2" spans="1:17" x14ac:dyDescent="0.35">
      <c r="B2" t="s">
        <v>30</v>
      </c>
      <c r="E2" t="s">
        <v>28</v>
      </c>
    </row>
    <row r="3" spans="1:17" x14ac:dyDescent="0.35">
      <c r="A3" t="s">
        <v>2</v>
      </c>
      <c r="B3" t="s">
        <v>3</v>
      </c>
      <c r="C3" t="s">
        <v>4</v>
      </c>
      <c r="D3" t="s">
        <v>5</v>
      </c>
      <c r="E3" t="s">
        <v>7</v>
      </c>
      <c r="F3" t="s">
        <v>9</v>
      </c>
      <c r="G3" t="s">
        <v>8</v>
      </c>
      <c r="I3" t="s">
        <v>10</v>
      </c>
      <c r="J3" t="s">
        <v>11</v>
      </c>
      <c r="K3" t="s">
        <v>22</v>
      </c>
      <c r="L3" t="s">
        <v>23</v>
      </c>
      <c r="M3" t="s">
        <v>22</v>
      </c>
      <c r="N3" s="4" t="s">
        <v>26</v>
      </c>
      <c r="O3" s="4" t="s">
        <v>27</v>
      </c>
      <c r="P3" t="s">
        <v>24</v>
      </c>
      <c r="Q3" t="s">
        <v>22</v>
      </c>
    </row>
    <row r="4" spans="1:17" x14ac:dyDescent="0.35">
      <c r="A4">
        <v>-0.5</v>
      </c>
      <c r="B4">
        <v>10.89</v>
      </c>
      <c r="C4">
        <v>0.35</v>
      </c>
      <c r="D4" s="1">
        <v>0.75536466315587447</v>
      </c>
      <c r="E4">
        <f>B4-$B$18</f>
        <v>9.16</v>
      </c>
      <c r="F4">
        <f>-(1-D4)*2.1*A4</f>
        <v>0.25686710368633181</v>
      </c>
      <c r="G4">
        <f>+F4</f>
        <v>0.25686710368633181</v>
      </c>
      <c r="I4">
        <f>+LN(E4)</f>
        <v>2.2148461786860389</v>
      </c>
      <c r="J4">
        <f>G4/$I$26</f>
        <v>1.9835199494161748</v>
      </c>
      <c r="K4" s="3">
        <f>+$K$1-J4</f>
        <v>1998.0164800505838</v>
      </c>
      <c r="L4">
        <f>LN($I$24/E4)/$H$19</f>
        <v>1.2315700095810131</v>
      </c>
      <c r="M4" s="3">
        <f>+$K$1-L4</f>
        <v>1998.768429990419</v>
      </c>
      <c r="N4" s="4">
        <f>+F4*E4</f>
        <v>2.3529026697667996</v>
      </c>
      <c r="O4" s="4">
        <f>+N4</f>
        <v>2.3529026697667996</v>
      </c>
      <c r="P4">
        <f>LN($N$16/($N$16-O4))/$H$19</f>
        <v>2.4401168796096155</v>
      </c>
      <c r="Q4" s="3">
        <f>$K$1-P4</f>
        <v>1997.5598831203904</v>
      </c>
    </row>
    <row r="5" spans="1:17" x14ac:dyDescent="0.35">
      <c r="A5">
        <v>-1.5</v>
      </c>
      <c r="B5">
        <v>8.7200000000000006</v>
      </c>
      <c r="C5">
        <v>0.33</v>
      </c>
      <c r="D5" s="1">
        <v>0.70646446447487099</v>
      </c>
      <c r="E5">
        <f t="shared" ref="E5:E14" si="0">B5-$B$18</f>
        <v>6.99</v>
      </c>
      <c r="F5">
        <f>-(1-D5)*(A5-A4)*2.1</f>
        <v>0.61642462460277092</v>
      </c>
      <c r="G5">
        <f>+G4+F5</f>
        <v>0.87329172828910273</v>
      </c>
      <c r="I5">
        <f t="shared" ref="I5:I14" si="1">+LN(E5)</f>
        <v>1.944480556245719</v>
      </c>
      <c r="J5">
        <f t="shared" ref="J5:J14" si="2">G5/$I$26</f>
        <v>6.7435321217184612</v>
      </c>
      <c r="K5" s="3">
        <f t="shared" ref="K5:K14" si="3">+$K$1-J5</f>
        <v>1993.2564678782815</v>
      </c>
      <c r="L5">
        <f t="shared" ref="L5:L14" si="4">LN($I$24/E5)/$H$19</f>
        <v>9.8907941779984849</v>
      </c>
      <c r="M5" s="3">
        <f t="shared" ref="M5:M14" si="5">+$K$1-L5</f>
        <v>1990.1092058220015</v>
      </c>
      <c r="N5" s="4">
        <f t="shared" ref="N5:N14" si="6">+F5*E5</f>
        <v>4.3088081259733686</v>
      </c>
      <c r="O5" s="4">
        <f>+N5+O4</f>
        <v>6.6617107957401682</v>
      </c>
      <c r="P5">
        <f t="shared" ref="P5:P13" si="7">LN($N$16/($N$16-O5))/$H$19</f>
        <v>7.456363262579675</v>
      </c>
      <c r="Q5" s="3">
        <f t="shared" ref="Q5:Q13" si="8">$K$1-P5</f>
        <v>1992.5436367374202</v>
      </c>
    </row>
    <row r="6" spans="1:17" x14ac:dyDescent="0.35">
      <c r="A6">
        <v>-3</v>
      </c>
      <c r="B6">
        <v>6.92</v>
      </c>
      <c r="C6">
        <v>0.21</v>
      </c>
      <c r="D6" s="1">
        <v>0.68429148403161899</v>
      </c>
      <c r="E6">
        <f t="shared" si="0"/>
        <v>5.1899999999999995</v>
      </c>
      <c r="F6">
        <f>-(1-D6)*(A6-A5)*2.1</f>
        <v>0.99448182530040019</v>
      </c>
      <c r="G6">
        <f t="shared" ref="G6:G15" si="9">+G5+F6</f>
        <v>1.8677735535895028</v>
      </c>
      <c r="I6">
        <f t="shared" si="1"/>
        <v>1.6467336971777973</v>
      </c>
      <c r="J6">
        <f t="shared" si="2"/>
        <v>14.422890480599344</v>
      </c>
      <c r="K6" s="3">
        <f t="shared" si="3"/>
        <v>1985.5771095194007</v>
      </c>
      <c r="L6">
        <f t="shared" si="4"/>
        <v>19.426979935788221</v>
      </c>
      <c r="M6" s="3">
        <f t="shared" si="5"/>
        <v>1980.5730200642117</v>
      </c>
      <c r="N6" s="4">
        <f t="shared" si="6"/>
        <v>5.1613606733090762</v>
      </c>
      <c r="O6" s="4">
        <f t="shared" ref="O6:O14" si="10">+N6+O5</f>
        <v>11.823071469049244</v>
      </c>
      <c r="P6">
        <f t="shared" si="7"/>
        <v>14.727557238349519</v>
      </c>
      <c r="Q6" s="3">
        <f t="shared" si="8"/>
        <v>1985.2724427616504</v>
      </c>
    </row>
    <row r="7" spans="1:17" x14ac:dyDescent="0.35">
      <c r="A7">
        <v>-4.5</v>
      </c>
      <c r="B7">
        <v>5.76</v>
      </c>
      <c r="C7">
        <v>0.11</v>
      </c>
      <c r="D7" s="1">
        <v>0.65010099168557767</v>
      </c>
      <c r="E7">
        <f t="shared" si="0"/>
        <v>4.0299999999999994</v>
      </c>
      <c r="F7">
        <f t="shared" ref="F7:F14" si="11">-(1-D7)*(A7-A6)*2.1</f>
        <v>1.1021818761904305</v>
      </c>
      <c r="G7">
        <f t="shared" si="9"/>
        <v>2.9699554297799331</v>
      </c>
      <c r="I7">
        <f t="shared" si="1"/>
        <v>1.3937663759585914</v>
      </c>
      <c r="J7">
        <f t="shared" si="2"/>
        <v>22.933905351457629</v>
      </c>
      <c r="K7" s="3">
        <f t="shared" si="3"/>
        <v>1977.0660946485423</v>
      </c>
      <c r="L7">
        <f t="shared" si="4"/>
        <v>27.528974272012302</v>
      </c>
      <c r="M7" s="3">
        <f t="shared" si="5"/>
        <v>1972.4710257279878</v>
      </c>
      <c r="N7" s="4">
        <f t="shared" si="6"/>
        <v>4.441792961047434</v>
      </c>
      <c r="O7" s="4">
        <f t="shared" si="10"/>
        <v>16.264864430096679</v>
      </c>
      <c r="P7">
        <f t="shared" si="7"/>
        <v>22.657838088432221</v>
      </c>
      <c r="Q7" s="3">
        <f t="shared" si="8"/>
        <v>1977.3421619115677</v>
      </c>
    </row>
    <row r="8" spans="1:17" x14ac:dyDescent="0.35">
      <c r="A8">
        <v>-6</v>
      </c>
      <c r="B8">
        <v>5.0199999999999996</v>
      </c>
      <c r="C8">
        <v>0.15</v>
      </c>
      <c r="D8" s="1">
        <v>0.69341079691893837</v>
      </c>
      <c r="E8">
        <f t="shared" si="0"/>
        <v>3.2899999999999996</v>
      </c>
      <c r="F8">
        <f t="shared" si="11"/>
        <v>0.96575598970534415</v>
      </c>
      <c r="G8">
        <f t="shared" si="9"/>
        <v>3.9357114194852771</v>
      </c>
      <c r="I8">
        <f t="shared" si="1"/>
        <v>1.1908875647772803</v>
      </c>
      <c r="J8">
        <f t="shared" si="2"/>
        <v>30.391443682982963</v>
      </c>
      <c r="K8" s="3">
        <f t="shared" si="3"/>
        <v>1969.608556317017</v>
      </c>
      <c r="L8">
        <f t="shared" si="4"/>
        <v>34.026742328410819</v>
      </c>
      <c r="M8" s="3">
        <f t="shared" si="5"/>
        <v>1965.9732576715892</v>
      </c>
      <c r="N8" s="4">
        <f t="shared" si="6"/>
        <v>3.177337206130582</v>
      </c>
      <c r="O8" s="4">
        <f t="shared" si="10"/>
        <v>19.44220163622726</v>
      </c>
      <c r="P8">
        <f t="shared" si="7"/>
        <v>29.843696030199766</v>
      </c>
      <c r="Q8" s="3">
        <f t="shared" si="8"/>
        <v>1970.1563039698003</v>
      </c>
    </row>
    <row r="9" spans="1:17" x14ac:dyDescent="0.35">
      <c r="A9">
        <v>-8</v>
      </c>
      <c r="B9">
        <v>4.75</v>
      </c>
      <c r="C9">
        <v>0.14000000000000001</v>
      </c>
      <c r="D9" s="1">
        <v>0.69777413863198634</v>
      </c>
      <c r="E9">
        <f t="shared" si="0"/>
        <v>3.02</v>
      </c>
      <c r="F9">
        <f t="shared" si="11"/>
        <v>1.2693486177456574</v>
      </c>
      <c r="G9">
        <f t="shared" si="9"/>
        <v>5.2050600372309344</v>
      </c>
      <c r="I9">
        <f t="shared" si="1"/>
        <v>1.1052568313867783</v>
      </c>
      <c r="J9">
        <f t="shared" si="2"/>
        <v>40.193315039530404</v>
      </c>
      <c r="K9" s="3">
        <f t="shared" si="3"/>
        <v>1959.8066849604695</v>
      </c>
      <c r="L9">
        <f t="shared" si="4"/>
        <v>36.769308892316417</v>
      </c>
      <c r="M9" s="3">
        <f t="shared" si="5"/>
        <v>1963.2306911076835</v>
      </c>
      <c r="N9" s="4">
        <f t="shared" si="6"/>
        <v>3.8334328255918857</v>
      </c>
      <c r="O9" s="4">
        <f t="shared" si="10"/>
        <v>23.275634461819145</v>
      </c>
      <c r="P9">
        <f t="shared" si="7"/>
        <v>41.426067537500366</v>
      </c>
      <c r="Q9" s="3">
        <f t="shared" si="8"/>
        <v>1958.5739324624997</v>
      </c>
    </row>
    <row r="10" spans="1:17" x14ac:dyDescent="0.35">
      <c r="A10">
        <v>-9</v>
      </c>
      <c r="B10">
        <v>4.4800000000000004</v>
      </c>
      <c r="C10">
        <v>0.12</v>
      </c>
      <c r="D10" s="1">
        <v>0.69924836948933178</v>
      </c>
      <c r="E10">
        <f t="shared" si="0"/>
        <v>2.7500000000000004</v>
      </c>
      <c r="F10">
        <f t="shared" si="11"/>
        <v>0.63157842407240328</v>
      </c>
      <c r="G10">
        <f t="shared" si="9"/>
        <v>5.8366384613033375</v>
      </c>
      <c r="I10">
        <f t="shared" si="1"/>
        <v>1.0116009116784801</v>
      </c>
      <c r="J10">
        <f t="shared" si="2"/>
        <v>45.070344389688884</v>
      </c>
      <c r="K10" s="3">
        <f t="shared" si="3"/>
        <v>1954.9296556103111</v>
      </c>
      <c r="L10">
        <f t="shared" si="4"/>
        <v>39.768904758586281</v>
      </c>
      <c r="M10" s="3">
        <f t="shared" si="5"/>
        <v>1960.2310952414136</v>
      </c>
      <c r="N10" s="4">
        <f t="shared" si="6"/>
        <v>1.7368406661991094</v>
      </c>
      <c r="O10" s="4">
        <f t="shared" si="10"/>
        <v>25.012475128018256</v>
      </c>
      <c r="P10">
        <f t="shared" si="7"/>
        <v>48.468711403792376</v>
      </c>
      <c r="Q10" s="3">
        <f t="shared" si="8"/>
        <v>1951.5312885962076</v>
      </c>
    </row>
    <row r="11" spans="1:17" x14ac:dyDescent="0.35">
      <c r="A11">
        <v>-11</v>
      </c>
      <c r="B11">
        <v>4.3600000000000003</v>
      </c>
      <c r="C11">
        <v>0.12</v>
      </c>
      <c r="D11" s="1">
        <v>0.69367375629742767</v>
      </c>
      <c r="E11">
        <f t="shared" si="0"/>
        <v>2.6300000000000003</v>
      </c>
      <c r="F11">
        <f t="shared" si="11"/>
        <v>1.2865702235508039</v>
      </c>
      <c r="G11">
        <f t="shared" si="9"/>
        <v>7.1232086848541414</v>
      </c>
      <c r="I11">
        <f t="shared" si="1"/>
        <v>0.96698384618967326</v>
      </c>
      <c r="J11">
        <f t="shared" si="2"/>
        <v>55.0052004616213</v>
      </c>
      <c r="K11" s="3">
        <f t="shared" si="3"/>
        <v>1944.9947995383786</v>
      </c>
      <c r="L11">
        <f>LN($I$24/E11)/$H$19</f>
        <v>41.197892543044055</v>
      </c>
      <c r="M11" s="3">
        <f t="shared" si="5"/>
        <v>1958.802107456956</v>
      </c>
      <c r="N11" s="4">
        <f t="shared" si="6"/>
        <v>3.3836796879386144</v>
      </c>
      <c r="O11" s="4">
        <f t="shared" si="10"/>
        <v>28.396154815956869</v>
      </c>
      <c r="P11">
        <f t="shared" si="7"/>
        <v>69.359527833753106</v>
      </c>
      <c r="Q11" s="3">
        <f t="shared" si="8"/>
        <v>1930.6404721662468</v>
      </c>
    </row>
    <row r="12" spans="1:17" x14ac:dyDescent="0.35">
      <c r="A12">
        <v>-12</v>
      </c>
      <c r="B12">
        <v>3.77</v>
      </c>
      <c r="C12">
        <v>0.09</v>
      </c>
      <c r="D12" s="1">
        <v>0.69244533952742582</v>
      </c>
      <c r="E12">
        <f t="shared" si="0"/>
        <v>2.04</v>
      </c>
      <c r="F12">
        <f t="shared" si="11"/>
        <v>0.64586478699240579</v>
      </c>
      <c r="G12">
        <f t="shared" si="9"/>
        <v>7.7690734718465473</v>
      </c>
      <c r="I12">
        <f t="shared" si="1"/>
        <v>0.71294980785612505</v>
      </c>
      <c r="J12">
        <f t="shared" si="2"/>
        <v>59.992548671025482</v>
      </c>
      <c r="K12" s="3">
        <f t="shared" si="3"/>
        <v>1940.0074513289744</v>
      </c>
      <c r="L12">
        <f t="shared" si="4"/>
        <v>49.334051513565967</v>
      </c>
      <c r="M12" s="3">
        <f t="shared" si="5"/>
        <v>1950.665948486434</v>
      </c>
      <c r="N12" s="4">
        <f t="shared" si="6"/>
        <v>1.3175641654645078</v>
      </c>
      <c r="O12" s="4">
        <f t="shared" si="10"/>
        <v>29.713718981421376</v>
      </c>
      <c r="P12">
        <f t="shared" si="7"/>
        <v>83.562995334521688</v>
      </c>
      <c r="Q12" s="3">
        <f t="shared" si="8"/>
        <v>1916.4370046654783</v>
      </c>
    </row>
    <row r="13" spans="1:17" x14ac:dyDescent="0.35">
      <c r="A13">
        <v>-15</v>
      </c>
      <c r="B13">
        <v>2.42</v>
      </c>
      <c r="C13">
        <v>0.09</v>
      </c>
      <c r="D13" s="1">
        <v>0.7269640036422137</v>
      </c>
      <c r="E13">
        <f t="shared" si="0"/>
        <v>0.69</v>
      </c>
      <c r="F13">
        <f t="shared" si="11"/>
        <v>1.7201267770540538</v>
      </c>
      <c r="G13">
        <f t="shared" si="9"/>
        <v>9.4892002489006018</v>
      </c>
      <c r="I13">
        <f t="shared" si="1"/>
        <v>-0.37106368139083207</v>
      </c>
      <c r="J13">
        <f t="shared" si="2"/>
        <v>73.275315241158367</v>
      </c>
      <c r="K13" s="3">
        <f t="shared" si="3"/>
        <v>1926.7246847588417</v>
      </c>
      <c r="L13">
        <f t="shared" si="4"/>
        <v>84.052651164857821</v>
      </c>
      <c r="M13" s="3">
        <f t="shared" si="5"/>
        <v>1915.9473488351423</v>
      </c>
      <c r="N13" s="4">
        <f t="shared" si="6"/>
        <v>1.186887476167297</v>
      </c>
      <c r="O13" s="4">
        <f t="shared" si="10"/>
        <v>30.900606457588673</v>
      </c>
      <c r="P13">
        <f t="shared" si="7"/>
        <v>105.93996584244343</v>
      </c>
      <c r="Q13" s="3">
        <f t="shared" si="8"/>
        <v>1894.0600341575566</v>
      </c>
    </row>
    <row r="14" spans="1:17" x14ac:dyDescent="0.35">
      <c r="A14">
        <v>-21</v>
      </c>
      <c r="B14">
        <v>2.0699999999999998</v>
      </c>
      <c r="C14">
        <v>7.0000000000000007E-2</v>
      </c>
      <c r="D14" s="1">
        <v>0.72598529890262686</v>
      </c>
      <c r="E14">
        <f t="shared" si="0"/>
        <v>0.33999999999999986</v>
      </c>
      <c r="F14">
        <f t="shared" si="11"/>
        <v>3.4525852338269019</v>
      </c>
      <c r="G14">
        <f t="shared" si="9"/>
        <v>12.941785482727504</v>
      </c>
      <c r="I14">
        <f t="shared" si="1"/>
        <v>-1.0788096613719305</v>
      </c>
      <c r="J14">
        <f t="shared" si="2"/>
        <v>99.93607323653795</v>
      </c>
      <c r="K14" s="3">
        <f t="shared" si="3"/>
        <v>1900.063926763462</v>
      </c>
      <c r="L14">
        <f t="shared" si="4"/>
        <v>106.72021902957565</v>
      </c>
      <c r="M14" s="3">
        <f t="shared" si="5"/>
        <v>1893.2797809704243</v>
      </c>
      <c r="N14" s="4">
        <f t="shared" si="6"/>
        <v>1.1738789795011462</v>
      </c>
      <c r="O14" s="4">
        <f t="shared" si="10"/>
        <v>32.07448543708982</v>
      </c>
    </row>
    <row r="15" spans="1:17" x14ac:dyDescent="0.35">
      <c r="A15">
        <v>-72</v>
      </c>
      <c r="B15" s="2">
        <v>1.73</v>
      </c>
      <c r="C15">
        <v>7.0000000000000007E-2</v>
      </c>
      <c r="D15" s="1">
        <v>0.73263086965695479</v>
      </c>
      <c r="E15">
        <v>0</v>
      </c>
      <c r="F15">
        <f>-(1-D15)*(A15-A14)*2.1</f>
        <v>28.635233859740143</v>
      </c>
      <c r="G15">
        <f t="shared" si="9"/>
        <v>41.577019342467651</v>
      </c>
    </row>
    <row r="16" spans="1:17" x14ac:dyDescent="0.35">
      <c r="M16" t="s">
        <v>25</v>
      </c>
      <c r="N16" s="4">
        <f>SUM(N4:N14)</f>
        <v>32.07448543708982</v>
      </c>
    </row>
    <row r="18" spans="1:14" x14ac:dyDescent="0.35">
      <c r="A18" t="s">
        <v>6</v>
      </c>
      <c r="B18">
        <v>1.73</v>
      </c>
      <c r="G18" t="s">
        <v>15</v>
      </c>
      <c r="H18">
        <v>22.2</v>
      </c>
      <c r="I18" t="s">
        <v>16</v>
      </c>
      <c r="L18" t="s">
        <v>29</v>
      </c>
    </row>
    <row r="19" spans="1:14" x14ac:dyDescent="0.35">
      <c r="D19" s="1"/>
      <c r="G19" t="s">
        <v>17</v>
      </c>
      <c r="H19">
        <f>LN(2)/H18</f>
        <v>3.1222845971168707E-2</v>
      </c>
      <c r="I19" t="s">
        <v>18</v>
      </c>
      <c r="L19" t="s">
        <v>31</v>
      </c>
    </row>
    <row r="20" spans="1:14" x14ac:dyDescent="0.35">
      <c r="L20" t="s">
        <v>32</v>
      </c>
    </row>
    <row r="21" spans="1:14" x14ac:dyDescent="0.35">
      <c r="G21" t="s">
        <v>11</v>
      </c>
      <c r="L21" t="s">
        <v>33</v>
      </c>
    </row>
    <row r="22" spans="1:14" x14ac:dyDescent="0.35">
      <c r="G22" t="s">
        <v>12</v>
      </c>
      <c r="I22">
        <f>SLOPE(I4:I14,G4:G14)</f>
        <v>-0.2411018654104792</v>
      </c>
      <c r="L22" t="s">
        <v>34</v>
      </c>
    </row>
    <row r="23" spans="1:14" x14ac:dyDescent="0.35">
      <c r="G23" t="s">
        <v>13</v>
      </c>
      <c r="I23">
        <f>INTERCEPT(I4:I14,G4:G14)</f>
        <v>2.2532992993978977</v>
      </c>
      <c r="L23" t="s">
        <v>35</v>
      </c>
    </row>
    <row r="24" spans="1:14" x14ac:dyDescent="0.35">
      <c r="G24" t="s">
        <v>14</v>
      </c>
      <c r="I24">
        <f>EXP(I23)</f>
        <v>9.5190904131167535</v>
      </c>
      <c r="L24" t="s">
        <v>36</v>
      </c>
    </row>
    <row r="25" spans="1:14" x14ac:dyDescent="0.35">
      <c r="L25" t="s">
        <v>37</v>
      </c>
    </row>
    <row r="26" spans="1:14" x14ac:dyDescent="0.35">
      <c r="G26" t="s">
        <v>19</v>
      </c>
      <c r="I26">
        <f>-H19/I22</f>
        <v>0.1295006403953424</v>
      </c>
      <c r="J26" t="s">
        <v>20</v>
      </c>
      <c r="L26" t="s">
        <v>38</v>
      </c>
    </row>
    <row r="27" spans="1:14" x14ac:dyDescent="0.35">
      <c r="L27" t="s">
        <v>39</v>
      </c>
    </row>
    <row r="28" spans="1:14" x14ac:dyDescent="0.35">
      <c r="L28" t="s">
        <v>40</v>
      </c>
      <c r="N28" s="5">
        <f>H19*O14</f>
        <v>1.0014567184067493</v>
      </c>
    </row>
    <row r="30" spans="1:14" x14ac:dyDescent="0.35">
      <c r="L30" t="s">
        <v>41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Monna</dc:creator>
  <cp:lastModifiedBy>Fabrice Monna</cp:lastModifiedBy>
  <dcterms:created xsi:type="dcterms:W3CDTF">2020-11-25T13:51:53Z</dcterms:created>
  <dcterms:modified xsi:type="dcterms:W3CDTF">2020-11-25T16:57:35Z</dcterms:modified>
</cp:coreProperties>
</file>